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RA" sheetId="1" r:id="rId4"/>
  </sheets>
</workbook>
</file>

<file path=xl/sharedStrings.xml><?xml version="1.0" encoding="utf-8"?>
<sst xmlns="http://schemas.openxmlformats.org/spreadsheetml/2006/main" uniqueCount="123">
  <si>
    <t>Lp.</t>
  </si>
  <si>
    <t>Plan  2022</t>
  </si>
  <si>
    <t>A.</t>
  </si>
  <si>
    <t>A</t>
  </si>
  <si>
    <t>WPŁYWY</t>
  </si>
  <si>
    <t>1. Składki SAMORZĄDOWE (BEZ OC)</t>
  </si>
  <si>
    <t>1) Adwokaci wykonujący zawód w pełnym wymiarze – 678 osób</t>
  </si>
  <si>
    <r>
      <rPr>
        <sz val="15"/>
        <color indexed="8"/>
        <rFont val="Times New Roman"/>
      </rPr>
      <t>- zmniejszenie wpływów z tytułu zwolnienia w okresie ciąży i urlopu macierzyńskiego: 22 osoby na dzień 1.1.2022 (kwota łączna, wyliczona na podstawie wniosków na 1.01.2022, przewidujących różne okresy zwolnienia)</t>
    </r>
  </si>
  <si>
    <t>2) Nowi adwokaci 25 osoby - po 60 zł za miesiące lipiec-wrzesień, pełna składka za miesiące październik-grudzień</t>
  </si>
  <si>
    <t>3) Emeryci wykonujący zawód - 85 osób</t>
  </si>
  <si>
    <t>4) Składki osób wpisanych na listę adwokatów nie wykonujących zawodu - 114 osób</t>
  </si>
  <si>
    <t>5) Składki radców prawnych wpisanych na listę adwokatów nie wykonujących zawodu - 22 osoby</t>
  </si>
  <si>
    <t>6) Składki aplikanci : 41 osób 1 rok ; 28 osób – 2 rok ; 39 osób 3 rok, 34 osoby przystępujące do egzaminu w 2022 roku przez 6 miesięcy po 20 złotych</t>
  </si>
  <si>
    <t xml:space="preserve">7) Wpływy z zaległych składek </t>
  </si>
  <si>
    <t>2. Inne wpływy - opłaty za wpis na listę adwokatów (szacunkowa opłata na podstawie poprzedniego roku  w kwocie 100 zł x 30 osób)</t>
  </si>
  <si>
    <t>3. Zasądzone kary</t>
  </si>
  <si>
    <t>4. Wpływy ze spłaty pożyczek</t>
  </si>
  <si>
    <t>WPŁYWY OGÓŁEM</t>
  </si>
  <si>
    <t>B</t>
  </si>
  <si>
    <t>WYDATKI SAMORZĄDOWE</t>
  </si>
  <si>
    <t>B.1.</t>
  </si>
  <si>
    <t>Wynagrodzenia</t>
  </si>
  <si>
    <t>1)     Wynagrodzenia pracowników 31.200,00 brutto miesięcznie x 5 mcy  + 29.000,00*7 mcy (wynagrodzenie zostało policzone dla 6 etatów, w biurze ORA ogółem zatrudnionych jest 7 osób z czego jedna osoba zatrudniona jest na zastępsto za pracownicę przebywającą  na urlopie macierzyńskim - zasiłek macierzyński wypłaca ZUS, ORA do czasu powrotu pracownicy do pracy nie ponosi z tego tytułu żadnych wydatków) (zmiana wysokości wynagrodzeń brutto w okresie czerwiec -grudzień 2022 związna jest ze zmianą struktury zatrudnienia na stanowisku dyrektora biura-przeszeregowanie w ramach biura)</t>
  </si>
  <si>
    <t>2)     Fundusz nagród – 13-sta pensja za 2021 rok</t>
  </si>
  <si>
    <t>4)     Składki ZUS pracodawcy od wynagrodzenia pracowników</t>
  </si>
  <si>
    <t>5)     Usługi księgowe - umowa zlecenie 5970,00 brutto x 12 m-c (4 dni tyg w tygodniu)</t>
  </si>
  <si>
    <t>Wynagrodzenia OGÓŁEM</t>
  </si>
  <si>
    <t>B.2.</t>
  </si>
  <si>
    <t>Wydatki rzeczowe</t>
  </si>
  <si>
    <t>1)      Materiały w kwocie brutto</t>
  </si>
  <si>
    <t>*) artykuły biurowe-1000 zł x12</t>
  </si>
  <si>
    <t xml:space="preserve">*) art. spożywcze – 1000 zł x 12 (np. woda, ciastka, kawa, herbata – dla pracowników, członków organów i gości ORA) </t>
  </si>
  <si>
    <t>*) rata leasingowa za sprzęt komputerowy 2600 zł x12</t>
  </si>
  <si>
    <t>*) zakup drobnego wyposażenia (dyski do serwerów, części zamienne do komputerów, uzupełnienie umeblowania biura)</t>
  </si>
  <si>
    <t>*) pozostałe materiały – akcja znicz, wieńce okolicznościowe, stroiki świąteczne, materiały remontowe itp..</t>
  </si>
  <si>
    <t>2)   Koszty utrzymania biura: lokal U 9 - 1700,00 zł, lokal U10 (50% przenaczone na biuro)  - 750,00 zł miesięcznie (prąd do ogrzewania, klimatyzacji, wentylacji i obsługi sprzętów)</t>
  </si>
  <si>
    <t>3)   Koszty utrzymania biura Opłaty za administrację i zarządzanie oraz fundusz remontowy za lokale biura ORA: lokale U 9 - 1300 zł, U10 (50% powierzchni przeznaczone na biuro) - 457,00 zł miesięcznie</t>
  </si>
  <si>
    <t>4)   Podatek od nieruchomości siedziby ORA - 9000,00 zł i  ubezpieczenie lokali biura ORA – 3500,00 zł</t>
  </si>
  <si>
    <t>5)     Usługi obce w kwocie brutto:</t>
  </si>
  <si>
    <t>*) usługi ksero i dzierżawa kserokopiarek 1100 zł x 12 m-c (opłata stała za urządzenie)</t>
  </si>
  <si>
    <t xml:space="preserve">*) sprzątanie biura -1000 zł x 12 </t>
  </si>
  <si>
    <t>*) usługi pocztowe – 3500 zł x 12</t>
  </si>
  <si>
    <t>*) usługi bankowe – 0,5 zł za 1 przelew dla ok. 4000 przelewów plus opłaty bankowe, obsługa płatności masowych</t>
  </si>
  <si>
    <t>*) telekomunikacja - 600 zł x 12 (dwa numery stacjonarne, dwa łącza internetowe, dwa  numery komórkowe)</t>
  </si>
  <si>
    <t>*) usługi informatyczne – pomoc zdalna przy programie ksiegowym, usługi dotyczące hostingu i domeny</t>
  </si>
  <si>
    <r>
      <rPr>
        <sz val="15"/>
        <color indexed="8"/>
        <rFont val="Times New Roman"/>
      </rPr>
      <t>6)  Usługi informatyczne 2830,00 zł brutto  x 5 miesięcy +  3.690,00 zł x 7 miesięcy</t>
    </r>
  </si>
  <si>
    <t xml:space="preserve">7) Licencje i aktualizacje oprogramowania księgowego  </t>
  </si>
  <si>
    <t>8) Licencje i opłaty za oprogramowanie: program zoom ok. 500 zł (cena uzależniona od kursu euro), licencja na program antywirusowy 800 zł, zakup programu do obsługi sekretariatu 1700,00 zł.</t>
  </si>
  <si>
    <t>9) Drobne naprawy sprzętu biurowego</t>
  </si>
  <si>
    <t>10) Szkolenie pracowników (m.in. szkolenia ze zmian w przepisach podatkowych i kadrowych)</t>
  </si>
  <si>
    <t>11) Audyt RODO, stałe zlecenie dla zewnętrznego Inspektora Ochrony Danych Osobowych</t>
  </si>
  <si>
    <t>12) Inne drobne wydatki (m.in. pranie tóg na stanie ORA, terminarze dla adwokatów)</t>
  </si>
  <si>
    <t>WYDATKI RZECZOWE OGÓŁEM</t>
  </si>
  <si>
    <t>II.</t>
  </si>
  <si>
    <t>B.3.</t>
  </si>
  <si>
    <t xml:space="preserve">
Działalność  statutowa</t>
  </si>
  <si>
    <r>
      <rPr>
        <sz val="15"/>
        <color indexed="8"/>
        <rFont val="Times New Roman"/>
      </rPr>
      <t xml:space="preserve">1)   Składki członkowskie na rzecz NRA 
</t>
    </r>
    <r>
      <rPr>
        <sz val="15"/>
        <color indexed="8"/>
        <rFont val="Times New Roman"/>
      </rPr>
      <t xml:space="preserve">     (miesięcznie 23.920 zł I półrocze, 28.645 zł za II półrocze)</t>
    </r>
  </si>
  <si>
    <t xml:space="preserve">2)   Diety samorządowe </t>
  </si>
  <si>
    <t>*dziekan-3563,00 zł brutto x 12 miesięcy</t>
  </si>
  <si>
    <t>*wice-dziekan-2358,00 zł brutto x12 miesięcy</t>
  </si>
  <si>
    <t>*sekretarz-2358,00 zł brutto x 12 miesięcy</t>
  </si>
  <si>
    <t xml:space="preserve">*zastępca sekretarza-2358,00 zł brutto x 12 miesięcy </t>
  </si>
  <si>
    <t>*skarbnik-2358,00 zł brutto x 12 miesięcy</t>
  </si>
  <si>
    <r>
      <rPr>
        <sz val="15"/>
        <color indexed="8"/>
        <rFont val="Times New Roman"/>
      </rPr>
      <t>3) Podróże służbowe (udział członków organów Izby w ogólnopolskich szkoleniach  i posiedzeniach organów adwokatury)</t>
    </r>
  </si>
  <si>
    <t>4)  Materiały grafiki komputerowej, serwis foto i video - 600 zł miesięcznie</t>
  </si>
  <si>
    <t>5)   Rzecznik Dyscyplinarny – dieta 2.358,00 x 12 mc</t>
  </si>
  <si>
    <t>6)    koszty obsługi organu Rzecznika Dyscyplinarnego – diety zastępców rzecznika, poczta, materiały (ok 80 skarg rocznie )</t>
  </si>
  <si>
    <t>7)   Sąd Dyscyplinarny – dieta przewodniczącego 2358,00 x 12 m-c</t>
  </si>
  <si>
    <t>8)   Koszty obsługi organu Sądu Dyscyplinarnego – diety zastępców przewodniczącej, protokolantów, usługi pocztowe, materiały biurowe.</t>
  </si>
  <si>
    <t>9)  Referat skarg - wynagrodzenie 1756, 00 zł x 12 m-c</t>
  </si>
  <si>
    <t>10)  Koszty wizytacji  (40 wizytacji x 500 zł)</t>
  </si>
  <si>
    <t>11) Rzecznik prasowy (1756,00 zł brutto x12 miesięcy)</t>
  </si>
  <si>
    <t>12)  Materiały branżowe - Legalis 550,00 zł brutto x 12 miesięcy</t>
  </si>
  <si>
    <t>13) Koszty zajęć sportowych dla adwokatów  (wynajem sali 1100 x 12)</t>
  </si>
  <si>
    <t xml:space="preserve">14) Wydatki pogrzebowe (kwiaty i nekrologi) </t>
  </si>
  <si>
    <t>15) Organizacja dnia dziecka do 20.000 zł i choinka 10.195 zł (koszt paczki 50 zł x ilość osób + koszt miejsca 400 zł + animacja 2000 zł).</t>
  </si>
  <si>
    <t>16) Integracja sportowa adwokatów (m.in. dofinansowania do organizacji zawodów, imprez np. rajd rowerowy Izby Lubelskiej 5000 zł, zgrupowanie piłkarskie drużyn ogólnopolskie, turniej tenisowy, udział w mistrzostwach ogólnopolskich adwokatury)</t>
  </si>
  <si>
    <t>17) Tradycyjne spotkania integracyjne adwokatów (w tym m.in. spotkania cykliczne tj. z okazji świąt oraz okazjonalne)</t>
  </si>
  <si>
    <t>18) Szkolenia adwokatów (wzrost kosztów umów zlecenia z uwagi na przepisy Polskiego Ładu)</t>
  </si>
  <si>
    <t>19) Organizacja Zgromadzenia Izby Adwokackiej w Lublinie w 2022 roku (m.in. wynajem sali na zgromadzenie, koszty sprzętu i materiałów)</t>
  </si>
  <si>
    <t>20) Windykacja należności - m.in. opłaty sądowe</t>
  </si>
  <si>
    <r>
      <rPr>
        <sz val="15"/>
        <color indexed="8"/>
        <rFont val="Times New Roman"/>
      </rPr>
      <t xml:space="preserve">21) Współorganizacja wydarzeń edukacyjnych i naukowych, działalność charytatywno-wizerunkowa (m.in w tym dofinasowanie konferencji naukowych wraz z uczelniami, spotkania ze studentami prawa, wsparcie wydawnictw oraz działalność dobroczynna).
</t>
    </r>
    <r>
      <rPr>
        <sz val="15"/>
        <color indexed="8"/>
        <rFont val="Times New Roman"/>
      </rPr>
      <t xml:space="preserve"> Promocja Centrum Mediacji przy Izbie Adwokackiej w Lublinie </t>
    </r>
  </si>
  <si>
    <t xml:space="preserve">22) Fundusz Samopomocy Koleżeńskiej (do 5% odpis w wysokości  z wpływu składek za rok 2021 z przeznaczeniem na zapomogi pośmiertne oraz zapomogi losowe) </t>
  </si>
  <si>
    <t>23) Ślubowanie adwokatów (koszty ponoszone przez ORA m.in. wynajem sali, obsługa techniczna i gastronomiczna wydarzenia)</t>
  </si>
  <si>
    <t>24) Materiały edukacyjne i wizerunkowe - promocja Adwokatury Lubelskiej</t>
  </si>
  <si>
    <t>25) Kapitał założycielski Fundacji Adwokatury (z udziałem 24 izb oraz NRA)</t>
  </si>
  <si>
    <t>26)  Pomoc dla Ukrainy (darowizny na zakup sprzętu medycznego i innego, transporty, kursy językowe i prawne dla adwokatek i adwokatów ukraińskich, itp.)</t>
  </si>
  <si>
    <t>WYDATKI DZIAŁALNOŚCI STATUTOWEJ OGÓŁEM</t>
  </si>
  <si>
    <t>WYDATKI DZIAŁALNOŚCI SAMORZĄDOWEJ OGÓŁEM</t>
  </si>
  <si>
    <t>WYNIK NA DZIAŁALNOŚCI SAMORZĄDOWEJ</t>
  </si>
  <si>
    <t>NAJEM</t>
  </si>
  <si>
    <t>Kraśnik</t>
  </si>
  <si>
    <t>Grottgera</t>
  </si>
  <si>
    <t>Hrubieszów</t>
  </si>
  <si>
    <t>Tomaszów</t>
  </si>
  <si>
    <t>U7</t>
  </si>
  <si>
    <t>U8</t>
  </si>
  <si>
    <t>U12</t>
  </si>
  <si>
    <t>Garaż al. Racławickie</t>
  </si>
  <si>
    <t xml:space="preserve">Przychody z najmu </t>
  </si>
  <si>
    <t>Przychody z najmu- refaktury za media 6000,00 zł netto x 12 mc</t>
  </si>
  <si>
    <t>Przychody z najmu ogółem</t>
  </si>
  <si>
    <t>Wydatki najem</t>
  </si>
  <si>
    <t>1)  Media lokale najem (pozycja obejmuje wydatki ogółem ponoszone przez ORA na media, koszty administracyjne i inne, które częściowo są refakturowane na najemców- vide poz. przychodowa  "Przychody z najmu- refaktury za media"</t>
  </si>
  <si>
    <t>Aleje Racławickie U7 i U8 – media prąd, ogrzewanie, wentylacja i klimatyzacja ok 780 zł netto i 560 netto miesięcznie</t>
  </si>
  <si>
    <t xml:space="preserve">Aleje Racławickie U7 i U8 – opłaty administracyjne na rzecz wspólnoty i na fundusz remontowy ( U7 ok 500 netto miesięcznie, U8- ok 650 zł netto miesięcznie) </t>
  </si>
  <si>
    <t>Kraśnik- Media</t>
  </si>
  <si>
    <t>Kraśnik - opłaty komunalne</t>
  </si>
  <si>
    <t>Grottgera 7-media prąd</t>
  </si>
  <si>
    <t>Grottgera 7-opłaty za administrowanie i czynsz do wspólnoty ok 1600 zł miesięcznie</t>
  </si>
  <si>
    <t>Hrubieszów-opłata do wspólnoty 350 zł miesięcznie *12</t>
  </si>
  <si>
    <t>Lubartów -prąd i opłata do wspólnoty ok 350 miesięcznie</t>
  </si>
  <si>
    <t>U12- opłaty administracyjne na rzecz wspólnoty i fundusz remontowy</t>
  </si>
  <si>
    <t>U12-media media prąd, ogrzewanie, wentylacja i klimatyzacja  650 zł miesięcznie</t>
  </si>
  <si>
    <t xml:space="preserve">2) Ubezpieczenie nieruchomości – najem </t>
  </si>
  <si>
    <t>3) Remonty nieruchomości – najem (koszenie, odśnieżanie)</t>
  </si>
  <si>
    <t>4) Podatek od nieruchomości – najem</t>
  </si>
  <si>
    <t>Wydatki najem ogółem</t>
  </si>
  <si>
    <t>Wynik na działalności najmu</t>
  </si>
  <si>
    <t>PRZYCHODY OGÓŁEM DZIAŁALNOŚĆ SAMORZĄDOWA ,  NAJEM</t>
  </si>
  <si>
    <t>WYDATKI OGÓŁEM DZIAŁALNOŚĆ SAMORZĄDOWA I NAJEM</t>
  </si>
  <si>
    <t xml:space="preserve">WYNIK OGÓŁEM – BIEŻĄCA REZERWA FINANSOWA IZBY </t>
  </si>
  <si>
    <t>W preliminarzu nie uwzględniono wydatków na remont budynku w Kraśniku oraz adaptację centrum mediacyjno-szkoleniowego przy al.Racławickich 8. Wydatki te będą sfinansowane z kwoty pozostałej ze sprzedaży nieruchomości w Kazimierzu Dolnym.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</si>
</sst>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2"/>
      <color indexed="8"/>
      <name val="Times New Roman"/>
    </font>
    <font>
      <sz val="15"/>
      <color indexed="8"/>
      <name val="Times New Roman"/>
    </font>
    <font>
      <sz val="16"/>
      <color indexed="8"/>
      <name val="Times New Roman"/>
    </font>
    <font>
      <sz val="18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>
        <color indexed="8"/>
      </bottom>
      <diagonal/>
    </border>
    <border>
      <left/>
      <right/>
      <top style="thin">
        <color indexed="8"/>
      </top>
      <bottom>
        <color indexed="8"/>
      </bottom>
      <diagonal/>
    </border>
    <border>
      <left/>
      <right style="thin">
        <color indexed="12"/>
      </right>
      <top style="thin">
        <color indexed="8"/>
      </top>
      <bottom>
        <color indexed="8"/>
      </bottom>
      <diagonal/>
    </border>
    <border>
      <left style="thin">
        <color indexed="8"/>
      </left>
      <right/>
      <top>
        <color indexed="8"/>
      </top>
      <bottom style="thin">
        <color indexed="8"/>
      </bottom>
      <diagonal/>
    </border>
    <border>
      <left/>
      <right/>
      <top>
        <color indexed="8"/>
      </top>
      <bottom style="thin">
        <color indexed="8"/>
      </bottom>
      <diagonal/>
    </border>
    <border>
      <left/>
      <right style="thin">
        <color indexed="12"/>
      </right>
      <top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1" fontId="0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center" wrapText="1"/>
    </xf>
    <xf numFmtId="49" fontId="3" fillId="3" borderId="1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center" wrapText="1"/>
    </xf>
    <xf numFmtId="1" fontId="3" fillId="4" borderId="1" applyNumberFormat="1" applyFont="1" applyFill="1" applyBorder="1" applyAlignment="1" applyProtection="0">
      <alignment horizontal="center" vertical="center" wrapText="1"/>
    </xf>
    <xf numFmtId="49" fontId="4" fillId="4" borderId="1" applyNumberFormat="1" applyFont="1" applyFill="1" applyBorder="1" applyAlignment="1" applyProtection="0">
      <alignment horizontal="left" vertical="center" wrapText="1"/>
    </xf>
    <xf numFmtId="4" fontId="4" fillId="4" borderId="1" applyNumberFormat="1" applyFont="1" applyFill="1" applyBorder="1" applyAlignment="1" applyProtection="0">
      <alignment horizontal="center" vertical="center" wrapText="1"/>
    </xf>
    <xf numFmtId="49" fontId="4" fillId="4" borderId="1" applyNumberFormat="1" applyFont="1" applyFill="1" applyBorder="1" applyAlignment="1" applyProtection="0">
      <alignment horizontal="justify" vertical="center" wrapText="1"/>
    </xf>
    <xf numFmtId="4" fontId="4" fillId="4" borderId="1" applyNumberFormat="1" applyFont="1" applyFill="1" applyBorder="1" applyAlignment="1" applyProtection="0">
      <alignment horizontal="center" vertical="center" wrapText="1" readingOrder="1"/>
    </xf>
    <xf numFmtId="4" fontId="4" fillId="4" borderId="1" applyNumberFormat="1" applyFont="1" applyFill="1" applyBorder="1" applyAlignment="1" applyProtection="0">
      <alignment horizontal="center" vertical="center"/>
    </xf>
    <xf numFmtId="1" fontId="3" fillId="3" borderId="1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horizontal="center" vertical="bottom"/>
    </xf>
    <xf numFmtId="49" fontId="4" fillId="3" borderId="1" applyNumberFormat="1" applyFont="1" applyFill="1" applyBorder="1" applyAlignment="1" applyProtection="0">
      <alignment horizontal="center" vertical="center"/>
    </xf>
    <xf numFmtId="1" fontId="3" fillId="4" borderId="1" applyNumberFormat="1" applyFont="1" applyFill="1" applyBorder="1" applyAlignment="1" applyProtection="0">
      <alignment horizontal="center" vertical="center"/>
    </xf>
    <xf numFmtId="49" fontId="4" fillId="4" borderId="1" applyNumberFormat="1" applyFont="1" applyFill="1" applyBorder="1" applyAlignment="1" applyProtection="0">
      <alignment horizontal="left" vertical="center"/>
    </xf>
    <xf numFmtId="49" fontId="4" fillId="4" borderId="1" applyNumberFormat="1" applyFont="1" applyFill="1" applyBorder="1" applyAlignment="1" applyProtection="0">
      <alignment horizontal="center" vertical="center"/>
    </xf>
    <xf numFmtId="1" fontId="3" fillId="3" borderId="1" applyNumberFormat="1" applyFont="1" applyFill="1" applyBorder="1" applyAlignment="1" applyProtection="0">
      <alignment horizontal="center" vertical="center"/>
    </xf>
    <xf numFmtId="1" fontId="0" fillId="4" borderId="1" applyNumberFormat="1" applyFont="1" applyFill="1" applyBorder="1" applyAlignment="1" applyProtection="0">
      <alignment horizontal="center" vertical="bottom"/>
    </xf>
    <xf numFmtId="49" fontId="5" fillId="4" borderId="1" applyNumberFormat="1" applyFont="1" applyFill="1" applyBorder="1" applyAlignment="1" applyProtection="0">
      <alignment horizontal="left" vertical="center" wrapText="1"/>
    </xf>
    <xf numFmtId="1" fontId="5" fillId="4" borderId="1" applyNumberFormat="1" applyFont="1" applyFill="1" applyBorder="1" applyAlignment="1" applyProtection="0">
      <alignment horizontal="left" vertical="center" wrapText="1"/>
    </xf>
    <xf numFmtId="4" fontId="5" fillId="4" borderId="1" applyNumberFormat="1" applyFont="1" applyFill="1" applyBorder="1" applyAlignment="1" applyProtection="0">
      <alignment horizontal="center" vertical="center"/>
    </xf>
    <xf numFmtId="1" fontId="0" fillId="3" borderId="1" applyNumberFormat="1" applyFont="1" applyFill="1" applyBorder="1" applyAlignment="1" applyProtection="0">
      <alignment vertical="center"/>
    </xf>
    <xf numFmtId="4" fontId="4" fillId="3" borderId="1" applyNumberFormat="1" applyFont="1" applyFill="1" applyBorder="1" applyAlignment="1" applyProtection="0">
      <alignment horizontal="center" vertical="center"/>
    </xf>
    <xf numFmtId="1" fontId="0" fillId="4" borderId="2" applyNumberFormat="1" applyFont="1" applyFill="1" applyBorder="1" applyAlignment="1" applyProtection="0">
      <alignment vertical="bottom"/>
    </xf>
    <xf numFmtId="1" fontId="0" fillId="4" borderId="3" applyNumberFormat="1" applyFont="1" applyFill="1" applyBorder="1" applyAlignment="1" applyProtection="0">
      <alignment vertical="bottom"/>
    </xf>
    <xf numFmtId="1" fontId="0" fillId="4" borderId="4" applyNumberFormat="1" applyFont="1" applyFill="1" applyBorder="1" applyAlignment="1" applyProtection="0">
      <alignment vertical="bottom"/>
    </xf>
    <xf numFmtId="1" fontId="0" fillId="4" borderId="5" applyNumberFormat="1" applyFont="1" applyFill="1" applyBorder="1" applyAlignment="1" applyProtection="0">
      <alignment vertical="center"/>
    </xf>
    <xf numFmtId="1" fontId="0" fillId="4" borderId="6" applyNumberFormat="1" applyFont="1" applyFill="1" applyBorder="1" applyAlignment="1" applyProtection="0">
      <alignment vertical="center"/>
    </xf>
    <xf numFmtId="1" fontId="0" fillId="4" borderId="7" applyNumberFormat="1" applyFont="1" applyFill="1" applyBorder="1" applyAlignment="1" applyProtection="0">
      <alignment vertical="center"/>
    </xf>
    <xf numFmtId="1" fontId="0" fillId="4" borderId="1" applyNumberFormat="1" applyFont="1" applyFill="1" applyBorder="1" applyAlignment="1" applyProtection="0">
      <alignment horizontal="center" vertical="center"/>
    </xf>
    <xf numFmtId="49" fontId="4" fillId="4" borderId="1" applyNumberFormat="1" applyFont="1" applyFill="1" applyBorder="1" applyAlignment="1" applyProtection="0">
      <alignment vertical="center"/>
    </xf>
    <xf numFmtId="1" fontId="0" fillId="4" borderId="1" applyNumberFormat="1" applyFont="1" applyFill="1" applyBorder="1" applyAlignment="1" applyProtection="0">
      <alignment vertical="center"/>
    </xf>
    <xf numFmtId="49" fontId="4" fillId="4" borderId="1" applyNumberFormat="1" applyFont="1" applyFill="1" applyBorder="1" applyAlignment="1" applyProtection="0">
      <alignment vertical="center" wrapText="1"/>
    </xf>
    <xf numFmtId="1" fontId="4" fillId="4" borderId="1" applyNumberFormat="1" applyFont="1" applyFill="1" applyBorder="1" applyAlignment="1" applyProtection="0">
      <alignment horizontal="center" vertical="center" wrapText="1"/>
    </xf>
    <xf numFmtId="49" fontId="4" fillId="4" borderId="1" applyNumberFormat="1" applyFont="1" applyFill="1" applyBorder="1" applyAlignment="1" applyProtection="0">
      <alignment horizontal="center" vertical="center" wrapText="1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49" fontId="6" fillId="4" borderId="11" applyNumberFormat="1" applyFont="1" applyFill="1" applyBorder="1" applyAlignment="1" applyProtection="0">
      <alignment vertical="bottom" wrapText="1"/>
    </xf>
    <xf numFmtId="1" fontId="6" fillId="4" borderId="12" applyNumberFormat="1" applyFont="1" applyFill="1" applyBorder="1" applyAlignment="1" applyProtection="0">
      <alignment vertical="bottom" wrapText="1"/>
    </xf>
    <xf numFmtId="1" fontId="6" fillId="4" borderId="13" applyNumberFormat="1" applyFont="1" applyFill="1" applyBorder="1" applyAlignment="1" applyProtection="0">
      <alignment vertical="bottom" wrapText="1"/>
    </xf>
    <xf numFmtId="1" fontId="6" fillId="4" borderId="11" applyNumberFormat="1" applyFont="1" applyFill="1" applyBorder="1" applyAlignment="1" applyProtection="0">
      <alignment vertical="bottom" wrapText="1"/>
    </xf>
    <xf numFmtId="1" fontId="6" fillId="4" borderId="14" applyNumberFormat="1" applyFont="1" applyFill="1" applyBorder="1" applyAlignment="1" applyProtection="0">
      <alignment vertical="bottom" wrapText="1"/>
    </xf>
    <xf numFmtId="1" fontId="6" fillId="4" borderId="15" applyNumberFormat="1" applyFont="1" applyFill="1" applyBorder="1" applyAlignment="1" applyProtection="0">
      <alignment vertical="bottom" wrapText="1"/>
    </xf>
    <xf numFmtId="1" fontId="6" fillId="4" borderId="16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cccccc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128"/>
  <sheetViews>
    <sheetView workbookViewId="0" showGridLines="0" defaultGridColor="1"/>
  </sheetViews>
  <sheetFormatPr defaultColWidth="8.83333" defaultRowHeight="12.75" customHeight="1" outlineLevelRow="0" outlineLevelCol="0"/>
  <cols>
    <col min="1" max="1" width="9" style="1" customWidth="1"/>
    <col min="2" max="2" width="9.35156" style="1" customWidth="1"/>
    <col min="3" max="3" width="104.172" style="1" customWidth="1"/>
    <col min="4" max="4" width="25.8516" style="1" customWidth="1"/>
    <col min="5" max="256" width="8.85156" style="1" customWidth="1"/>
  </cols>
  <sheetData>
    <row r="1" ht="12.75" customHeight="1">
      <c r="A1" t="s" s="2">
        <v>0</v>
      </c>
      <c r="B1" s="3"/>
      <c r="C1" s="3"/>
      <c r="D1" t="s" s="4">
        <v>1</v>
      </c>
    </row>
    <row r="2" ht="27.75" customHeight="1">
      <c r="A2" s="2"/>
      <c r="B2" s="3"/>
      <c r="C2" s="3"/>
      <c r="D2" s="4"/>
    </row>
    <row r="3" ht="12.75" customHeight="1">
      <c r="A3" t="s" s="5">
        <v>2</v>
      </c>
      <c r="B3" t="s" s="6">
        <v>3</v>
      </c>
      <c r="C3" t="s" s="6">
        <v>4</v>
      </c>
      <c r="D3" s="6"/>
    </row>
    <row r="4" ht="18" customHeight="1">
      <c r="A4" s="5"/>
      <c r="B4" s="6"/>
      <c r="C4" s="6"/>
      <c r="D4" s="6"/>
    </row>
    <row r="5" ht="36.75" customHeight="1">
      <c r="A5" s="7"/>
      <c r="B5" t="s" s="8">
        <v>5</v>
      </c>
      <c r="C5" s="8"/>
      <c r="D5" s="9">
        <f>D6+D8+D9+D10+D11+D12+D13+D7</f>
        <v>1452080</v>
      </c>
    </row>
    <row r="6" ht="46.5" customHeight="1">
      <c r="A6" s="7"/>
      <c r="B6" t="s" s="8">
        <v>6</v>
      </c>
      <c r="C6" s="8"/>
      <c r="D6" s="9">
        <f>678*12*140</f>
        <v>1139040</v>
      </c>
    </row>
    <row r="7" ht="68.6" customHeight="1">
      <c r="A7" s="7"/>
      <c r="B7" t="s" s="10">
        <v>7</v>
      </c>
      <c r="C7" s="10"/>
      <c r="D7" s="9">
        <v>-17900</v>
      </c>
    </row>
    <row r="8" ht="36.75" customHeight="1">
      <c r="A8" s="7"/>
      <c r="B8" t="s" s="8">
        <v>8</v>
      </c>
      <c r="C8" s="8"/>
      <c r="D8" s="9">
        <f>25*60*3+25*140*3</f>
        <v>15000</v>
      </c>
    </row>
    <row r="9" ht="36.75" customHeight="1">
      <c r="A9" s="7"/>
      <c r="B9" t="s" s="8">
        <v>9</v>
      </c>
      <c r="C9" s="8"/>
      <c r="D9" s="9">
        <f>12*95*85</f>
        <v>96900</v>
      </c>
    </row>
    <row r="10" ht="48.75" customHeight="1">
      <c r="A10" s="7"/>
      <c r="B10" t="s" s="8">
        <v>10</v>
      </c>
      <c r="C10" s="8"/>
      <c r="D10" s="9">
        <f>12*114*60</f>
        <v>82080</v>
      </c>
    </row>
    <row r="11" ht="58.5" customHeight="1">
      <c r="A11" s="7"/>
      <c r="B11" t="s" s="8">
        <v>11</v>
      </c>
      <c r="C11" s="8"/>
      <c r="D11" s="11">
        <f>22*140*12</f>
        <v>36960</v>
      </c>
    </row>
    <row r="12" ht="48.75" customHeight="1">
      <c r="A12" s="7"/>
      <c r="B12" t="s" s="8">
        <v>12</v>
      </c>
      <c r="C12" s="8"/>
      <c r="D12" s="9">
        <f>(41+28+39)*20*12+34*20*6</f>
        <v>30000</v>
      </c>
    </row>
    <row r="13" ht="49.5" customHeight="1">
      <c r="A13" s="7"/>
      <c r="B13" t="s" s="8">
        <v>13</v>
      </c>
      <c r="C13" s="8"/>
      <c r="D13" s="12">
        <v>70000</v>
      </c>
    </row>
    <row r="14" ht="36.75" customHeight="1">
      <c r="A14" s="7"/>
      <c r="B14" t="s" s="8">
        <v>14</v>
      </c>
      <c r="C14" s="8"/>
      <c r="D14" s="12">
        <f>100*30</f>
        <v>3000</v>
      </c>
    </row>
    <row r="15" ht="36.75" customHeight="1">
      <c r="A15" s="7"/>
      <c r="B15" t="s" s="8">
        <v>15</v>
      </c>
      <c r="C15" s="8"/>
      <c r="D15" s="12">
        <f>8000</f>
        <v>8000</v>
      </c>
    </row>
    <row r="16" ht="36.75" customHeight="1">
      <c r="A16" s="7"/>
      <c r="B16" t="s" s="8">
        <v>16</v>
      </c>
      <c r="C16" s="8"/>
      <c r="D16" s="12">
        <v>8000</v>
      </c>
    </row>
    <row r="17" ht="44.25" customHeight="1">
      <c r="A17" s="7"/>
      <c r="B17" t="s" s="8">
        <v>17</v>
      </c>
      <c r="C17" s="8"/>
      <c r="D17" s="9">
        <f>D5+D14+D15+D16</f>
        <v>1471080</v>
      </c>
    </row>
    <row r="18" ht="30.75" customHeight="1">
      <c r="A18" s="13"/>
      <c r="B18" t="s" s="14">
        <v>18</v>
      </c>
      <c r="C18" t="s" s="15">
        <v>19</v>
      </c>
      <c r="D18" s="15"/>
    </row>
    <row r="19" ht="59.5" customHeight="1">
      <c r="A19" s="13"/>
      <c r="B19" t="s" s="6">
        <v>20</v>
      </c>
      <c r="C19" t="s" s="6">
        <v>21</v>
      </c>
      <c r="D19" s="6"/>
    </row>
    <row r="20" ht="50.25" customHeight="1">
      <c r="A20" s="16"/>
      <c r="B20" t="s" s="8">
        <v>22</v>
      </c>
      <c r="C20" s="8"/>
      <c r="D20" s="12">
        <f>31200*5+7*29000</f>
        <v>359000</v>
      </c>
    </row>
    <row r="21" ht="50.25" customHeight="1">
      <c r="A21" s="16"/>
      <c r="B21" t="s" s="17">
        <v>23</v>
      </c>
      <c r="C21" s="17"/>
      <c r="D21" s="12">
        <f>2800+2800+3000+6000+4900+5560+4700+3600</f>
        <v>33360</v>
      </c>
    </row>
    <row r="22" ht="50.25" customHeight="1">
      <c r="A22" s="16"/>
      <c r="B22" t="s" s="17">
        <v>24</v>
      </c>
      <c r="C22" s="17"/>
      <c r="D22" s="12">
        <f>(D20+D21)*0.2</f>
        <v>78472</v>
      </c>
    </row>
    <row r="23" ht="50.25" customHeight="1">
      <c r="A23" s="16"/>
      <c r="B23" t="s" s="8">
        <v>25</v>
      </c>
      <c r="C23" s="8"/>
      <c r="D23" s="12">
        <v>71640</v>
      </c>
    </row>
    <row r="24" ht="50.25" customHeight="1">
      <c r="A24" s="16"/>
      <c r="B24" t="s" s="18">
        <v>26</v>
      </c>
      <c r="C24" s="18"/>
      <c r="D24" s="9">
        <f>D23+D22+D21+D20</f>
        <v>542472</v>
      </c>
    </row>
    <row r="25" ht="50.25" customHeight="1">
      <c r="A25" s="19"/>
      <c r="B25" t="s" s="15">
        <v>27</v>
      </c>
      <c r="C25" t="s" s="6">
        <v>28</v>
      </c>
      <c r="D25" s="6"/>
    </row>
    <row r="26" ht="50.25" customHeight="1">
      <c r="A26" s="16"/>
      <c r="B26" t="s" s="17">
        <v>29</v>
      </c>
      <c r="C26" s="17"/>
      <c r="D26" s="9">
        <f>D27+D28+D29+D30+D31</f>
        <v>65200</v>
      </c>
    </row>
    <row r="27" ht="50.25" customHeight="1">
      <c r="A27" s="16"/>
      <c r="B27" t="s" s="17">
        <v>30</v>
      </c>
      <c r="C27" s="17"/>
      <c r="D27" s="12">
        <v>12000</v>
      </c>
    </row>
    <row r="28" ht="50.25" customHeight="1">
      <c r="A28" s="16"/>
      <c r="B28" t="s" s="8">
        <v>31</v>
      </c>
      <c r="C28" s="8"/>
      <c r="D28" s="12">
        <f>1000*12</f>
        <v>12000</v>
      </c>
    </row>
    <row r="29" ht="50.25" customHeight="1">
      <c r="A29" s="16"/>
      <c r="B29" t="s" s="17">
        <v>32</v>
      </c>
      <c r="C29" s="17"/>
      <c r="D29" s="12">
        <f>2600*12</f>
        <v>31200</v>
      </c>
    </row>
    <row r="30" ht="50.25" customHeight="1">
      <c r="A30" s="16"/>
      <c r="B30" t="s" s="8">
        <v>33</v>
      </c>
      <c r="C30" s="8"/>
      <c r="D30" s="12">
        <v>8000</v>
      </c>
    </row>
    <row r="31" ht="65.25" customHeight="1">
      <c r="A31" s="16"/>
      <c r="B31" t="s" s="8">
        <v>34</v>
      </c>
      <c r="C31" s="8"/>
      <c r="D31" s="12">
        <v>2000</v>
      </c>
    </row>
    <row r="32" ht="71.25" customHeight="1">
      <c r="A32" s="16"/>
      <c r="B32" t="s" s="8">
        <v>35</v>
      </c>
      <c r="C32" s="8"/>
      <c r="D32" s="12">
        <f>1700*12+1500*12-1500*12+750*12</f>
        <v>29400</v>
      </c>
    </row>
    <row r="33" ht="50.25" customHeight="1">
      <c r="A33" s="16"/>
      <c r="B33" t="s" s="8">
        <v>36</v>
      </c>
      <c r="C33" s="8"/>
      <c r="D33" s="12">
        <f>(1300+914)*12-914*12+457*12</f>
        <v>21084</v>
      </c>
    </row>
    <row r="34" ht="50.25" customHeight="1">
      <c r="A34" s="16"/>
      <c r="B34" t="s" s="8">
        <v>37</v>
      </c>
      <c r="C34" s="8"/>
      <c r="D34" s="12">
        <v>12500</v>
      </c>
    </row>
    <row r="35" ht="50.25" customHeight="1">
      <c r="A35" s="16"/>
      <c r="B35" t="s" s="8">
        <v>38</v>
      </c>
      <c r="C35" s="8"/>
      <c r="D35" s="9">
        <f>D37+D38+D39+D40+D36+D41</f>
        <v>78400</v>
      </c>
    </row>
    <row r="36" ht="50.25" customHeight="1">
      <c r="A36" s="16"/>
      <c r="B36" t="s" s="8">
        <v>39</v>
      </c>
      <c r="C36" s="8"/>
      <c r="D36" s="12">
        <f>1100*12</f>
        <v>13200</v>
      </c>
    </row>
    <row r="37" ht="50.25" customHeight="1">
      <c r="A37" s="16"/>
      <c r="B37" t="s" s="17">
        <v>40</v>
      </c>
      <c r="C37" s="17"/>
      <c r="D37" s="12">
        <v>12000</v>
      </c>
    </row>
    <row r="38" ht="50.25" customHeight="1">
      <c r="A38" s="16"/>
      <c r="B38" t="s" s="17">
        <v>41</v>
      </c>
      <c r="C38" s="17"/>
      <c r="D38" s="12">
        <f>3500*12</f>
        <v>42000</v>
      </c>
    </row>
    <row r="39" ht="50.25" customHeight="1">
      <c r="A39" s="16"/>
      <c r="B39" t="s" s="8">
        <v>42</v>
      </c>
      <c r="C39" s="8"/>
      <c r="D39" s="12">
        <v>2500</v>
      </c>
    </row>
    <row r="40" ht="50.25" customHeight="1">
      <c r="A40" s="16"/>
      <c r="B40" t="s" s="8">
        <v>43</v>
      </c>
      <c r="C40" s="8"/>
      <c r="D40" s="12">
        <f t="shared" si="22" ref="D40:D60">600*12</f>
        <v>7200</v>
      </c>
    </row>
    <row r="41" ht="50.25" customHeight="1">
      <c r="A41" s="16"/>
      <c r="B41" t="s" s="8">
        <v>44</v>
      </c>
      <c r="C41" s="8"/>
      <c r="D41" s="12">
        <v>1500</v>
      </c>
    </row>
    <row r="42" ht="50.25" customHeight="1">
      <c r="A42" s="16"/>
      <c r="B42" t="s" s="17">
        <v>45</v>
      </c>
      <c r="C42" s="17"/>
      <c r="D42" s="12">
        <f>2830*5+3690*7</f>
        <v>39980</v>
      </c>
    </row>
    <row r="43" ht="56.25" customHeight="1">
      <c r="A43" s="16"/>
      <c r="B43" t="s" s="17">
        <v>46</v>
      </c>
      <c r="C43" s="17"/>
      <c r="D43" s="9">
        <v>6000</v>
      </c>
    </row>
    <row r="44" ht="50.25" customHeight="1">
      <c r="A44" s="16"/>
      <c r="B44" t="s" s="8">
        <v>47</v>
      </c>
      <c r="C44" s="8"/>
      <c r="D44" s="12">
        <f>800+500+1700</f>
        <v>3000</v>
      </c>
    </row>
    <row r="45" ht="50.25" customHeight="1">
      <c r="A45" s="16"/>
      <c r="B45" t="s" s="17">
        <v>48</v>
      </c>
      <c r="C45" s="17"/>
      <c r="D45" s="12">
        <v>2000</v>
      </c>
    </row>
    <row r="46" ht="50.25" customHeight="1">
      <c r="A46" s="16"/>
      <c r="B46" t="s" s="8">
        <v>49</v>
      </c>
      <c r="C46" s="8"/>
      <c r="D46" s="12">
        <v>1500</v>
      </c>
    </row>
    <row r="47" ht="50.25" customHeight="1">
      <c r="A47" s="16"/>
      <c r="B47" t="s" s="8">
        <v>50</v>
      </c>
      <c r="C47" s="8"/>
      <c r="D47" s="12">
        <v>15000</v>
      </c>
    </row>
    <row r="48" ht="50.25" customHeight="1">
      <c r="A48" s="16"/>
      <c r="B48" t="s" s="8">
        <v>51</v>
      </c>
      <c r="C48" s="8"/>
      <c r="D48" s="12">
        <v>3000</v>
      </c>
    </row>
    <row r="49" ht="31.5" customHeight="1">
      <c r="A49" s="16"/>
      <c r="B49" t="s" s="18">
        <v>52</v>
      </c>
      <c r="C49" s="18"/>
      <c r="D49" s="9">
        <f>D45+D44+D42+D35+D33+D26+D43+D47+D32+D46+D34+D48</f>
        <v>277064</v>
      </c>
    </row>
    <row r="50" ht="13.5" customHeight="1">
      <c r="A50" t="s" s="5">
        <v>53</v>
      </c>
      <c r="B50" t="s" s="6">
        <v>54</v>
      </c>
      <c r="C50" t="s" s="6">
        <v>55</v>
      </c>
      <c r="D50" s="6"/>
    </row>
    <row r="51" ht="42" customHeight="1">
      <c r="A51" s="5"/>
      <c r="B51" s="6"/>
      <c r="C51" s="6"/>
      <c r="D51" s="6"/>
    </row>
    <row r="52" ht="42" customHeight="1">
      <c r="A52" s="20"/>
      <c r="B52" t="s" s="8">
        <v>56</v>
      </c>
      <c r="C52" s="8"/>
      <c r="D52" s="12">
        <f>23920*6+28645*6</f>
        <v>315390</v>
      </c>
    </row>
    <row r="53" ht="42" customHeight="1">
      <c r="A53" s="20"/>
      <c r="B53" t="s" s="8">
        <v>57</v>
      </c>
      <c r="C53" s="8"/>
      <c r="D53" s="12">
        <f>SUM(D54:D58)</f>
        <v>155940</v>
      </c>
    </row>
    <row r="54" ht="42" customHeight="1">
      <c r="A54" s="20"/>
      <c r="B54" t="s" s="8">
        <v>58</v>
      </c>
      <c r="C54" s="8"/>
      <c r="D54" s="12">
        <f>3563*12</f>
        <v>42756</v>
      </c>
    </row>
    <row r="55" ht="42" customHeight="1">
      <c r="A55" s="20"/>
      <c r="B55" t="s" s="8">
        <v>59</v>
      </c>
      <c r="C55" s="8"/>
      <c r="D55" s="12">
        <f t="shared" si="29" ref="D55:D61">2358*12</f>
        <v>28296</v>
      </c>
    </row>
    <row r="56" ht="42" customHeight="1">
      <c r="A56" s="20"/>
      <c r="B56" t="s" s="8">
        <v>60</v>
      </c>
      <c r="C56" s="8"/>
      <c r="D56" s="12">
        <f t="shared" si="29"/>
        <v>28296</v>
      </c>
    </row>
    <row r="57" ht="42" customHeight="1">
      <c r="A57" s="20"/>
      <c r="B57" t="s" s="8">
        <v>61</v>
      </c>
      <c r="C57" s="8"/>
      <c r="D57" s="12">
        <f t="shared" si="29"/>
        <v>28296</v>
      </c>
    </row>
    <row r="58" ht="42" customHeight="1">
      <c r="A58" s="20"/>
      <c r="B58" t="s" s="8">
        <v>62</v>
      </c>
      <c r="C58" s="8"/>
      <c r="D58" s="12">
        <f t="shared" si="29"/>
        <v>28296</v>
      </c>
    </row>
    <row r="59" ht="42" customHeight="1">
      <c r="A59" s="20"/>
      <c r="B59" t="s" s="8">
        <v>63</v>
      </c>
      <c r="C59" s="8"/>
      <c r="D59" s="12">
        <v>4500</v>
      </c>
    </row>
    <row r="60" ht="42" customHeight="1">
      <c r="A60" s="20"/>
      <c r="B60" t="s" s="8">
        <v>64</v>
      </c>
      <c r="C60" s="8"/>
      <c r="D60" s="12">
        <f t="shared" si="22"/>
        <v>7200</v>
      </c>
    </row>
    <row r="61" ht="44.55" customHeight="1">
      <c r="A61" s="20"/>
      <c r="B61" t="s" s="8">
        <v>65</v>
      </c>
      <c r="C61" s="8"/>
      <c r="D61" s="12">
        <f t="shared" si="29"/>
        <v>28296</v>
      </c>
    </row>
    <row r="62" ht="42" customHeight="1">
      <c r="A62" s="20"/>
      <c r="B62" t="s" s="8">
        <v>66</v>
      </c>
      <c r="C62" s="8"/>
      <c r="D62" s="12">
        <v>45000</v>
      </c>
    </row>
    <row r="63" ht="42" customHeight="1">
      <c r="A63" s="20"/>
      <c r="B63" t="s" s="8">
        <v>67</v>
      </c>
      <c r="C63" s="8"/>
      <c r="D63" s="12">
        <v>28296</v>
      </c>
    </row>
    <row r="64" ht="42" customHeight="1">
      <c r="A64" s="20"/>
      <c r="B64" t="s" s="8">
        <v>68</v>
      </c>
      <c r="C64" s="8"/>
      <c r="D64" s="12">
        <v>27000</v>
      </c>
    </row>
    <row r="65" ht="42" customHeight="1">
      <c r="A65" s="20"/>
      <c r="B65" t="s" s="8">
        <v>69</v>
      </c>
      <c r="C65" s="8"/>
      <c r="D65" s="9">
        <f t="shared" si="35" ref="D65:D67">1756*12</f>
        <v>21072</v>
      </c>
    </row>
    <row r="66" ht="42" customHeight="1">
      <c r="A66" s="20"/>
      <c r="B66" t="s" s="8">
        <v>70</v>
      </c>
      <c r="C66" s="8"/>
      <c r="D66" s="12">
        <v>20000</v>
      </c>
    </row>
    <row r="67" ht="42" customHeight="1">
      <c r="A67" s="20"/>
      <c r="B67" t="s" s="8">
        <v>71</v>
      </c>
      <c r="C67" s="8"/>
      <c r="D67" s="12">
        <f t="shared" si="35"/>
        <v>21072</v>
      </c>
    </row>
    <row r="68" ht="42" customHeight="1">
      <c r="A68" s="20"/>
      <c r="B68" t="s" s="8">
        <v>72</v>
      </c>
      <c r="C68" s="8"/>
      <c r="D68" s="12">
        <f>550*12</f>
        <v>6600</v>
      </c>
    </row>
    <row r="69" ht="42" customHeight="1">
      <c r="A69" s="20"/>
      <c r="B69" t="s" s="8">
        <v>73</v>
      </c>
      <c r="C69" s="8"/>
      <c r="D69" s="12">
        <f>12*1100</f>
        <v>13200</v>
      </c>
    </row>
    <row r="70" ht="42" customHeight="1">
      <c r="A70" s="20"/>
      <c r="B70" t="s" s="8">
        <v>74</v>
      </c>
      <c r="C70" s="8"/>
      <c r="D70" s="12">
        <v>5000</v>
      </c>
    </row>
    <row r="71" ht="69.5" customHeight="1">
      <c r="A71" s="20"/>
      <c r="B71" t="s" s="8">
        <v>75</v>
      </c>
      <c r="C71" s="8"/>
      <c r="D71" s="12">
        <f>30195</f>
        <v>30195</v>
      </c>
    </row>
    <row r="72" ht="49.5" customHeight="1">
      <c r="A72" s="20"/>
      <c r="B72" t="s" s="8">
        <v>76</v>
      </c>
      <c r="C72" s="8"/>
      <c r="D72" s="12">
        <f>3000+5000+7500</f>
        <v>15500</v>
      </c>
    </row>
    <row r="73" ht="42" customHeight="1">
      <c r="A73" s="20"/>
      <c r="B73" t="s" s="8">
        <v>77</v>
      </c>
      <c r="C73" s="8"/>
      <c r="D73" s="12">
        <v>8000</v>
      </c>
    </row>
    <row r="74" ht="50.25" customHeight="1">
      <c r="A74" s="20"/>
      <c r="B74" t="s" s="8">
        <v>78</v>
      </c>
      <c r="C74" s="8"/>
      <c r="D74" s="12">
        <v>35000</v>
      </c>
    </row>
    <row r="75" ht="43.5" customHeight="1">
      <c r="A75" s="20"/>
      <c r="B75" t="s" s="8">
        <v>79</v>
      </c>
      <c r="C75" s="8"/>
      <c r="D75" s="12">
        <v>12000</v>
      </c>
    </row>
    <row r="76" ht="89.25" customHeight="1">
      <c r="A76" s="20"/>
      <c r="B76" t="s" s="8">
        <v>80</v>
      </c>
      <c r="C76" s="8"/>
      <c r="D76" s="12">
        <v>10000</v>
      </c>
    </row>
    <row r="77" ht="53.25" customHeight="1">
      <c r="A77" s="20"/>
      <c r="B77" t="s" s="8">
        <v>81</v>
      </c>
      <c r="C77" s="8"/>
      <c r="D77" s="12">
        <v>15000</v>
      </c>
    </row>
    <row r="78" ht="53.25" customHeight="1">
      <c r="A78" s="20"/>
      <c r="B78" t="s" s="8">
        <v>82</v>
      </c>
      <c r="C78" s="8"/>
      <c r="D78" s="12">
        <v>65485</v>
      </c>
    </row>
    <row r="79" ht="53.25" customHeight="1">
      <c r="A79" s="20"/>
      <c r="B79" t="s" s="8">
        <v>83</v>
      </c>
      <c r="C79" s="8"/>
      <c r="D79" s="9">
        <v>14000</v>
      </c>
    </row>
    <row r="80" ht="53.25" customHeight="1">
      <c r="A80" s="20"/>
      <c r="B80" t="s" s="8">
        <v>84</v>
      </c>
      <c r="C80" s="8"/>
      <c r="D80" s="9">
        <v>10000</v>
      </c>
    </row>
    <row r="81" ht="53.25" customHeight="1">
      <c r="A81" s="20"/>
      <c r="B81" t="s" s="8">
        <v>85</v>
      </c>
      <c r="C81" s="8"/>
      <c r="D81" s="9">
        <v>5000</v>
      </c>
    </row>
    <row r="82" ht="16.5" customHeight="1">
      <c r="A82" s="20"/>
      <c r="B82" t="s" s="21">
        <v>86</v>
      </c>
      <c r="C82" s="22"/>
      <c r="D82" s="23">
        <v>25000</v>
      </c>
    </row>
    <row r="83" ht="45.75" customHeight="1">
      <c r="A83" s="20"/>
      <c r="B83" t="s" s="18">
        <v>87</v>
      </c>
      <c r="C83" s="18"/>
      <c r="D83" s="12">
        <f>D78+D77+D76+D75+D74+D73+D72+D71+D70+D69+D68+D67+D66+D65+D64+D63+D62+D61+D60+D59+D53+D52+D79+D80+D81+D82</f>
        <v>943746</v>
      </c>
    </row>
    <row r="84" ht="59.25" customHeight="1">
      <c r="A84" s="20"/>
      <c r="B84" s="18"/>
      <c r="C84" s="18"/>
      <c r="D84" s="12"/>
    </row>
    <row r="85" ht="49.5" customHeight="1">
      <c r="A85" s="20"/>
      <c r="B85" t="s" s="18">
        <v>88</v>
      </c>
      <c r="C85" s="18"/>
      <c r="D85" s="12">
        <f>D83+D49+D24</f>
        <v>1763282</v>
      </c>
    </row>
    <row r="86" ht="49.5" customHeight="1">
      <c r="A86" s="24"/>
      <c r="B86" t="s" s="15">
        <v>89</v>
      </c>
      <c r="C86" s="15"/>
      <c r="D86" s="25">
        <f>D17-D85</f>
        <v>-292202</v>
      </c>
    </row>
    <row r="87" ht="49.5" customHeight="1">
      <c r="A87" s="26"/>
      <c r="B87" s="27"/>
      <c r="C87" s="27"/>
      <c r="D87" s="28"/>
    </row>
    <row r="88" ht="63" customHeight="1">
      <c r="A88" s="29"/>
      <c r="B88" s="30"/>
      <c r="C88" s="30"/>
      <c r="D88" s="31"/>
    </row>
    <row r="89" ht="39.75" customHeight="1">
      <c r="A89" s="24"/>
      <c r="B89" t="s" s="15">
        <v>90</v>
      </c>
      <c r="C89" s="15"/>
      <c r="D89" s="15"/>
    </row>
    <row r="90" ht="39.75" customHeight="1">
      <c r="A90" s="32"/>
      <c r="B90" s="32"/>
      <c r="C90" t="s" s="33">
        <v>91</v>
      </c>
      <c r="D90" s="12">
        <v>134000</v>
      </c>
    </row>
    <row r="91" ht="39.75" customHeight="1">
      <c r="A91" s="32"/>
      <c r="B91" s="32"/>
      <c r="C91" t="s" s="33">
        <v>92</v>
      </c>
      <c r="D91" s="12">
        <v>94000</v>
      </c>
    </row>
    <row r="92" ht="39.75" customHeight="1">
      <c r="A92" s="32"/>
      <c r="B92" s="32"/>
      <c r="C92" t="s" s="33">
        <v>93</v>
      </c>
      <c r="D92" s="12">
        <v>10800</v>
      </c>
    </row>
    <row r="93" ht="39.75" customHeight="1">
      <c r="A93" s="32"/>
      <c r="B93" s="32"/>
      <c r="C93" t="s" s="33">
        <v>94</v>
      </c>
      <c r="D93" s="12">
        <v>20000</v>
      </c>
    </row>
    <row r="94" ht="39.75" customHeight="1">
      <c r="A94" s="32"/>
      <c r="B94" s="32"/>
      <c r="C94" t="s" s="33">
        <v>95</v>
      </c>
      <c r="D94" s="12">
        <v>43000</v>
      </c>
    </row>
    <row r="95" ht="39.75" customHeight="1">
      <c r="A95" s="32"/>
      <c r="B95" s="32"/>
      <c r="C95" t="s" s="33">
        <v>96</v>
      </c>
      <c r="D95" s="12">
        <v>75000</v>
      </c>
    </row>
    <row r="96" ht="39.75" customHeight="1">
      <c r="A96" s="32"/>
      <c r="B96" s="32"/>
      <c r="C96" t="s" s="33">
        <v>97</v>
      </c>
      <c r="D96" s="12">
        <v>26000</v>
      </c>
    </row>
    <row r="97" ht="39.75" customHeight="1">
      <c r="A97" s="32"/>
      <c r="B97" s="32"/>
      <c r="C97" t="s" s="33">
        <v>98</v>
      </c>
      <c r="D97" s="12">
        <v>3000</v>
      </c>
    </row>
    <row r="98" ht="39.75" customHeight="1">
      <c r="A98" s="32"/>
      <c r="B98" t="s" s="33">
        <v>99</v>
      </c>
      <c r="C98" s="33"/>
      <c r="D98" s="12">
        <f>SUM(D90:D97)</f>
        <v>405800</v>
      </c>
    </row>
    <row r="99" ht="39.75" customHeight="1">
      <c r="A99" s="34"/>
      <c r="B99" t="s" s="35">
        <v>100</v>
      </c>
      <c r="C99" s="35"/>
      <c r="D99" s="12">
        <f>6000*12</f>
        <v>72000</v>
      </c>
    </row>
    <row r="100" ht="41.25" customHeight="1">
      <c r="A100" s="34"/>
      <c r="B100" t="s" s="35">
        <v>101</v>
      </c>
      <c r="C100" s="35"/>
      <c r="D100" s="12">
        <f>D98+D99</f>
        <v>477800</v>
      </c>
    </row>
    <row r="101" ht="58.3" customHeight="1">
      <c r="A101" s="24"/>
      <c r="B101" t="s" s="15">
        <v>102</v>
      </c>
      <c r="C101" s="15"/>
      <c r="D101" s="15"/>
    </row>
    <row r="102" ht="45" customHeight="1">
      <c r="A102" s="32"/>
      <c r="B102" t="s" s="8">
        <v>103</v>
      </c>
      <c r="C102" s="8"/>
      <c r="D102" s="9">
        <f>D103+D104+D105+D107+D108+D109+D110+D111+D112+D106</f>
        <v>105480</v>
      </c>
    </row>
    <row r="103" ht="66" customHeight="1">
      <c r="A103" s="32"/>
      <c r="B103" s="36"/>
      <c r="C103" t="s" s="8">
        <v>104</v>
      </c>
      <c r="D103" s="12">
        <v>16080</v>
      </c>
    </row>
    <row r="104" ht="31.5" customHeight="1">
      <c r="A104" s="32"/>
      <c r="B104" s="36"/>
      <c r="C104" t="s" s="8">
        <v>105</v>
      </c>
      <c r="D104" s="12">
        <f>500*12+650*12</f>
        <v>13800</v>
      </c>
    </row>
    <row r="105" ht="31.5" customHeight="1">
      <c r="A105" s="32"/>
      <c r="B105" s="36"/>
      <c r="C105" t="s" s="8">
        <v>106</v>
      </c>
      <c r="D105" s="12">
        <v>25000</v>
      </c>
    </row>
    <row r="106" ht="31.5" customHeight="1">
      <c r="A106" s="32"/>
      <c r="B106" s="36"/>
      <c r="C106" t="s" s="8">
        <v>107</v>
      </c>
      <c r="D106" s="12">
        <v>1200</v>
      </c>
    </row>
    <row r="107" ht="52.5" customHeight="1">
      <c r="A107" s="32"/>
      <c r="B107" s="36"/>
      <c r="C107" t="s" s="8">
        <v>108</v>
      </c>
      <c r="D107" s="12">
        <v>7000</v>
      </c>
    </row>
    <row r="108" ht="31.5" customHeight="1">
      <c r="A108" s="32"/>
      <c r="B108" s="36"/>
      <c r="C108" t="s" s="8">
        <v>109</v>
      </c>
      <c r="D108" s="12">
        <f>1600*12</f>
        <v>19200</v>
      </c>
    </row>
    <row r="109" ht="31.5" customHeight="1">
      <c r="A109" s="32"/>
      <c r="B109" s="36"/>
      <c r="C109" t="s" s="8">
        <v>110</v>
      </c>
      <c r="D109" s="12">
        <f t="shared" si="50" ref="D109:D110">350*12</f>
        <v>4200</v>
      </c>
    </row>
    <row r="110" ht="31.5" customHeight="1">
      <c r="A110" s="32"/>
      <c r="B110" s="36"/>
      <c r="C110" t="s" s="8">
        <v>111</v>
      </c>
      <c r="D110" s="12">
        <f t="shared" si="50"/>
        <v>4200</v>
      </c>
    </row>
    <row r="111" ht="43.5" customHeight="1">
      <c r="A111" s="32"/>
      <c r="B111" s="36"/>
      <c r="C111" t="s" s="8">
        <v>112</v>
      </c>
      <c r="D111" s="12">
        <v>7000</v>
      </c>
    </row>
    <row r="112" ht="36" customHeight="1">
      <c r="A112" s="32"/>
      <c r="B112" s="36"/>
      <c r="C112" t="s" s="8">
        <v>113</v>
      </c>
      <c r="D112" s="12">
        <f>650*12</f>
        <v>7800</v>
      </c>
    </row>
    <row r="113" ht="33.75" customHeight="1">
      <c r="A113" s="34"/>
      <c r="B113" t="s" s="8">
        <v>114</v>
      </c>
      <c r="C113" s="8"/>
      <c r="D113" s="12">
        <v>10000</v>
      </c>
    </row>
    <row r="114" ht="33.75" customHeight="1">
      <c r="A114" s="34"/>
      <c r="B114" t="s" s="8">
        <v>115</v>
      </c>
      <c r="C114" s="8"/>
      <c r="D114" s="12">
        <v>3000</v>
      </c>
    </row>
    <row r="115" ht="16.5" customHeight="1">
      <c r="A115" s="34"/>
      <c r="B115" t="s" s="8">
        <v>116</v>
      </c>
      <c r="C115" s="8"/>
      <c r="D115" s="12">
        <v>35000</v>
      </c>
    </row>
    <row r="116" ht="20.25" customHeight="1">
      <c r="A116" s="32"/>
      <c r="B116" t="s" s="18">
        <v>117</v>
      </c>
      <c r="C116" s="18"/>
      <c r="D116" s="12">
        <f>D102+D113+D114+D115</f>
        <v>153480</v>
      </c>
    </row>
    <row r="117" ht="30.65" customHeight="1">
      <c r="A117" s="32"/>
      <c r="B117" s="18"/>
      <c r="C117" s="18"/>
      <c r="D117" s="12"/>
    </row>
    <row r="118" ht="50.3" customHeight="1">
      <c r="A118" s="32"/>
      <c r="B118" t="s" s="18">
        <v>118</v>
      </c>
      <c r="C118" s="18"/>
      <c r="D118" s="12">
        <f>D100-D116</f>
        <v>324320</v>
      </c>
    </row>
    <row r="119" ht="50.2" customHeight="1">
      <c r="A119" s="32"/>
      <c r="B119" t="s" s="37">
        <v>119</v>
      </c>
      <c r="C119" s="37"/>
      <c r="D119" s="12">
        <f>D17+D100</f>
        <v>1948880</v>
      </c>
    </row>
    <row r="120" ht="47.6" customHeight="1">
      <c r="A120" s="32"/>
      <c r="B120" t="s" s="37">
        <v>120</v>
      </c>
      <c r="C120" s="37"/>
      <c r="D120" s="12">
        <f>D85+D116</f>
        <v>1916762</v>
      </c>
    </row>
    <row r="121" ht="19.35" customHeight="1">
      <c r="A121" s="32"/>
      <c r="B121" t="s" s="15">
        <v>121</v>
      </c>
      <c r="C121" s="15"/>
      <c r="D121" s="25">
        <f>D119-D120</f>
        <v>32118</v>
      </c>
    </row>
    <row r="122" ht="13.5" customHeight="1">
      <c r="A122" s="38"/>
      <c r="B122" s="39"/>
      <c r="C122" s="39"/>
      <c r="D122" s="40"/>
    </row>
    <row r="123" ht="12.75" customHeight="1">
      <c r="A123" t="s" s="41">
        <v>122</v>
      </c>
      <c r="B123" s="42"/>
      <c r="C123" s="42"/>
      <c r="D123" s="43"/>
    </row>
    <row r="124" ht="12.75" customHeight="1">
      <c r="A124" s="44"/>
      <c r="B124" s="42"/>
      <c r="C124" s="42"/>
      <c r="D124" s="43"/>
    </row>
    <row r="125" ht="12.75" customHeight="1">
      <c r="A125" s="44"/>
      <c r="B125" s="42"/>
      <c r="C125" s="42"/>
      <c r="D125" s="43"/>
    </row>
    <row r="126" ht="12.75" customHeight="1">
      <c r="A126" s="44"/>
      <c r="B126" s="42"/>
      <c r="C126" s="42"/>
      <c r="D126" s="43"/>
    </row>
    <row r="127" ht="12.75" customHeight="1">
      <c r="A127" s="44"/>
      <c r="B127" s="42"/>
      <c r="C127" s="42"/>
      <c r="D127" s="43"/>
    </row>
    <row r="128" ht="8.5" customHeight="1">
      <c r="A128" s="45"/>
      <c r="B128" s="46"/>
      <c r="C128" s="46"/>
      <c r="D128" s="47"/>
    </row>
  </sheetData>
  <mergeCells count="111">
    <mergeCell ref="A1:A2"/>
    <mergeCell ref="B1:C2"/>
    <mergeCell ref="D1:D2"/>
    <mergeCell ref="A3:A4"/>
    <mergeCell ref="B3:B4"/>
    <mergeCell ref="C3:D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C18:D18"/>
    <mergeCell ref="C19:D19"/>
    <mergeCell ref="B20:C20"/>
    <mergeCell ref="B21:C21"/>
    <mergeCell ref="B22:C22"/>
    <mergeCell ref="B23:C23"/>
    <mergeCell ref="B24:C24"/>
    <mergeCell ref="C25:D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A51"/>
    <mergeCell ref="B50:B51"/>
    <mergeCell ref="C50:D51"/>
    <mergeCell ref="A52:A85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4"/>
    <mergeCell ref="D83:D84"/>
    <mergeCell ref="B85:C85"/>
    <mergeCell ref="B86:C86"/>
    <mergeCell ref="B89:D89"/>
    <mergeCell ref="A90:B97"/>
    <mergeCell ref="B98:C98"/>
    <mergeCell ref="B99:C99"/>
    <mergeCell ref="B100:C100"/>
    <mergeCell ref="B101:D101"/>
    <mergeCell ref="A102:A112"/>
    <mergeCell ref="B102:C102"/>
    <mergeCell ref="B103:B112"/>
    <mergeCell ref="B113:C113"/>
    <mergeCell ref="B114:C114"/>
    <mergeCell ref="B115:C115"/>
    <mergeCell ref="A116:A118"/>
    <mergeCell ref="B116:C117"/>
    <mergeCell ref="D116:D117"/>
    <mergeCell ref="B118:C118"/>
    <mergeCell ref="A119:A121"/>
    <mergeCell ref="B119:C119"/>
    <mergeCell ref="B120:C120"/>
    <mergeCell ref="B121:C121"/>
    <mergeCell ref="A123:D128"/>
  </mergeCells>
  <pageMargins left="1.07292" right="0" top="0.747917" bottom="0.747917" header="0.511806" footer="0.511811"/>
  <pageSetup firstPageNumber="1" fitToHeight="1" fitToWidth="1" scale="53" useFirstPageNumber="0" orientation="portrait" pageOrder="downThenOver"/>
  <headerFooter>
    <oddHeader>&amp;C&amp;"Helvetica Neue,Regular"&amp;12&amp;K000000&amp;P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